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最终" sheetId="2" r:id="rId1"/>
  </sheets>
  <definedNames>
    <definedName name="_xlnm._FilterDatabase" localSheetId="0" hidden="1">最终!$A$5:$XFC$27</definedName>
  </definedNames>
  <calcPr calcId="144525" concurrentCalc="0"/>
</workbook>
</file>

<file path=xl/sharedStrings.xml><?xml version="1.0" encoding="utf-8"?>
<sst xmlns="http://schemas.openxmlformats.org/spreadsheetml/2006/main" count="199" uniqueCount="128">
  <si>
    <t>错那县2023年财政涉农统筹整合资金项目计划明细表</t>
  </si>
  <si>
    <t xml:space="preserve">                                                                                                                                                            金额单位：万元</t>
  </si>
  <si>
    <t>序号</t>
  </si>
  <si>
    <t>县（区)、乡（镇）名称</t>
  </si>
  <si>
    <t>项目名称</t>
  </si>
  <si>
    <t>建设地点（所在乡村名）</t>
  </si>
  <si>
    <t>项目建设内容</t>
  </si>
  <si>
    <t>项目主管部门</t>
  </si>
  <si>
    <t>项目责任人</t>
  </si>
  <si>
    <t>计划开竣工日期</t>
  </si>
  <si>
    <t>财政资金来源及金额</t>
  </si>
  <si>
    <t>投资计划(万元)</t>
  </si>
  <si>
    <t>项目预计年均实现收益（万元）</t>
  </si>
  <si>
    <t>项目受益群众户(户)</t>
  </si>
  <si>
    <t>项目受益总人口(人)</t>
  </si>
  <si>
    <t>其中</t>
  </si>
  <si>
    <t>项目实施进展情况（完成用地手续；完成环评；完成项目概批；完成招投标；完成实施方案或初步设计报告；项目已开工，完成几项就填几项）</t>
  </si>
  <si>
    <t>备注</t>
  </si>
  <si>
    <t>资金来源名称</t>
  </si>
  <si>
    <t>金额(万元)</t>
  </si>
  <si>
    <t>总投资</t>
  </si>
  <si>
    <t>中央财政资金</t>
  </si>
  <si>
    <t>自治区财政资金</t>
  </si>
  <si>
    <t>地（市）级资金</t>
  </si>
  <si>
    <t xml:space="preserve">县本级资金  </t>
  </si>
  <si>
    <t>援藏资金</t>
  </si>
  <si>
    <t xml:space="preserve">项目单位自筹（含贷款）   </t>
  </si>
  <si>
    <t>受益脱贫户数</t>
  </si>
  <si>
    <t>受益脱贫人口数</t>
  </si>
  <si>
    <t>十一、错那县</t>
  </si>
  <si>
    <t>(一)生产发展（含产业项目）类</t>
  </si>
  <si>
    <t>3</t>
  </si>
  <si>
    <t>错那县</t>
  </si>
  <si>
    <t>错那县浪坡乡DB产业发展(温室）建设项目</t>
  </si>
  <si>
    <t>肖村</t>
  </si>
  <si>
    <t>新建温室大棚4877.9平方米（温室大棚5座），管理用房132.84平方米，及附属设施</t>
  </si>
  <si>
    <t>县农业农村局</t>
  </si>
  <si>
    <t>洛桑罗布</t>
  </si>
  <si>
    <t>2023.03-2023.07</t>
  </si>
  <si>
    <t>中央巩固拓展脱贫攻坚成果和乡村振兴任务资金400万元</t>
  </si>
  <si>
    <t>项目已开工</t>
  </si>
  <si>
    <t>错那县万只肉羊核心种羊项目（一期）</t>
  </si>
  <si>
    <t>饲养3万只引进肉羊，新建300亩3处饲养场，购置屠宰、饲养、销售等设施设备。</t>
  </si>
  <si>
    <t>县商务局</t>
  </si>
  <si>
    <t>扎西巴珠</t>
  </si>
  <si>
    <t>2023.04-2023.10</t>
  </si>
  <si>
    <t>中央财政少数民族发展资金2000万元、自治区巩固拓展脱贫攻坚成果和乡村振兴任务资金740.1万元，自治区财政少数民族发展资金873.46万元，市级本级配套110万元，本级配套150万元.</t>
  </si>
  <si>
    <t>完成项目概批；</t>
  </si>
  <si>
    <t>错那县肖一带DB民族手工业产业园区建设项目（一期）</t>
  </si>
  <si>
    <t>新建生产厂房、管理用房、销售区，引进区内外先进手工艺、设备等打造一体化DB产业园区</t>
  </si>
  <si>
    <t>2023.3月-2023.10</t>
  </si>
  <si>
    <t>中央巩固拓展脱贫攻坚成果和乡村振兴任务资金1487.4万元，中央少数民族发展资金512.6元.</t>
  </si>
  <si>
    <t>（二）小型公益性基础设施类</t>
  </si>
  <si>
    <t>5</t>
  </si>
  <si>
    <t>1</t>
  </si>
  <si>
    <t>错那县浪坡乡X村TZ拉DB安置BJ巡逻道建设项目（二期）</t>
  </si>
  <si>
    <t>亭子拉</t>
  </si>
  <si>
    <t>项目里程：6.262公里。路基路面：路面采用沥青混凝土，路基宽度为6.5米, 路面宽6.0米，两侧各0.25米硬化路肩。</t>
  </si>
  <si>
    <t>交通局</t>
  </si>
  <si>
    <t>秦晓民</t>
  </si>
  <si>
    <t>2023.03-2023.08</t>
  </si>
  <si>
    <t>自治区巩固拓展脱贫攻坚成果和乡村振兴任务资金589.23万元，市级本级配套50万元，本级配套50万元.</t>
  </si>
  <si>
    <t>2</t>
  </si>
  <si>
    <t>错那县库局乡雍布DB安置点BJ巡逻牧道建设项目</t>
  </si>
  <si>
    <t>雍布</t>
  </si>
  <si>
    <t>拟建公路总里程18.246公里、路基宽度4.5米、路面宽度3.5米、全线按四级公路技术标准建设</t>
  </si>
  <si>
    <t>中央巩固拓展脱贫攻坚成果和乡村振兴任务资金1400万元、自治区巩固拓展脱贫攻坚成果和乡村振兴任务资金387.47万元，市级本级配套41.1万元，本级配套27.46万元.</t>
  </si>
  <si>
    <t>错那县县城至浪坡乡养堆村公路防险加固维修工程项目</t>
  </si>
  <si>
    <t>养堆村</t>
  </si>
  <si>
    <t>维修现有沥青路面、总里程为18公里，增设挡墙及波形护栏等设施</t>
  </si>
  <si>
    <t>中央巩固拓展脱贫攻坚成果和乡村振兴任务资金1450万元、、自治区巩固拓展脱贫攻坚成果和乡村振兴任务资金561.31万元，市级本级配套53.14万元，本级配套23.24万元</t>
  </si>
  <si>
    <t>完成招投标；</t>
  </si>
  <si>
    <t>4</t>
  </si>
  <si>
    <t>香香拉至卡达村公路提升改造项目</t>
  </si>
  <si>
    <t>卡达村</t>
  </si>
  <si>
    <t>项目里程：21KM。路基路面：路面采用沥青混凝土，路基宽度为4.5米，路面宽度为3.5米。两侧各0.5m硬化路肩。该项目K0+000-K3+500段现有路面损坏严重，部分路段现有挡护工程坍塌，需进行油返砂处理，维修道路20.75公里沥青路面。</t>
  </si>
  <si>
    <t>中央巩固拓展脱贫攻坚成果和乡村振兴任务资金1882.34万元、自治区巩固拓展脱贫攻坚成果和乡村振兴任务资金353.65万元，市级配套35万元，县级配套29.01万元</t>
  </si>
  <si>
    <t>错那县曲卓木乡郭梅村3组至5组过境道路建设项目</t>
  </si>
  <si>
    <t>郭梅村</t>
  </si>
  <si>
    <t>项目里程，13.5公里，道路宽4米，混凝土路面</t>
  </si>
  <si>
    <t>中央巩固拓展脱贫攻坚成果和乡村振兴任务资金922万元、自治区巩固拓展脱贫攻坚成果和乡村振兴任务资金195.377万元，市级配套40万元，本级配套30.62万元</t>
  </si>
  <si>
    <t>（三）美丽宜居整村推进类</t>
  </si>
  <si>
    <t>错那县肖DB搬迁区昂定村乡村振兴补短板项目</t>
  </si>
  <si>
    <t>昂 定 村</t>
  </si>
  <si>
    <t>对肖搬迁区昂定村进行修建道路、防护工程、房前屋后绿化等基础设施补短板。</t>
  </si>
  <si>
    <t>县乡村振兴局</t>
  </si>
  <si>
    <t>格桑次卓</t>
  </si>
  <si>
    <t>中央巩固拓展脱贫攻坚成果和乡村振兴任务资金976.17万元、自治区巩固拓展脱贫攻坚成果和乡村振兴任务资金381.2万元、市级配套45万元，县级配套25万元</t>
  </si>
  <si>
    <t>完成招投标</t>
  </si>
  <si>
    <t>错那县浪坡乡汤乌村DB搬迁区乡村振兴补短板项目</t>
  </si>
  <si>
    <t>汤乌村</t>
  </si>
  <si>
    <t>新建汤乌村道路、晒场、厕所、防护工程等附属工程。</t>
  </si>
  <si>
    <t>中央巩固拓展脱贫攻坚成果和乡村振兴任务资金万670.07万元、自治区巩固拓展脱贫攻坚成果和乡村振兴任务资金310.68万元、市级本级配套26.57万元、县级30万元。</t>
  </si>
  <si>
    <t>（四）巩固提升类（人居环境整治类）</t>
  </si>
  <si>
    <t>错那县土伦DB搬迁区多塘村、聚塘村乡村振兴补短板项目</t>
  </si>
  <si>
    <t>多塘村       聚塘村</t>
  </si>
  <si>
    <t>新建多塘村、聚塘村道路、公厕、饮水保温措施、排水防护工程、绿化等基础设施补短板。</t>
  </si>
  <si>
    <t>中央巩固拓展脱贫攻坚成果和乡村振兴任务资金万1442.37万元、自治区巩固拓展脱贫攻坚成果和乡村振兴任务资金324.65万元、市级本级配套32.75万元、县级本级配套40万元。</t>
  </si>
  <si>
    <t>错那县浪坡乡肖康桑扩建DB村乡村振兴补短板项目</t>
  </si>
  <si>
    <t>肖康桑</t>
  </si>
  <si>
    <t>新建肖康桑扩建道路、晒场、厕所、防护工程等附属工程。</t>
  </si>
  <si>
    <t>中央巩固拓展脱贫攻坚成果和乡村振兴任务资金550万元、自治区巩固拓展脱贫攻坚成果和乡村振兴任务资金42.52万元、市级本级配套36.44万元，本级29.17万元</t>
  </si>
  <si>
    <t>错那县浪坡乡养堆村乡村振兴人居环境整治提升项目</t>
  </si>
  <si>
    <t>新建养堆村道路、晒场、厕所、防护工程等附属工程。</t>
  </si>
  <si>
    <t>中央巩固拓展脱贫攻坚成果和乡村振兴任务资金万626.95万元、自治区巩固拓展脱贫攻坚成果和乡村振兴任务资金303.73万元、市级本级配套40万元，县本级20万元.</t>
  </si>
  <si>
    <t>该项目总投资1294.99万元，缺口资金304.31万元。</t>
  </si>
  <si>
    <t>错那县吉巴村、贡日村、勒村、贤村乡村振兴美丽宜居项目</t>
  </si>
  <si>
    <t>吉巴村、贡日村、勒村、贤村</t>
  </si>
  <si>
    <t>新建吉巴村、贡日村、勒村、贤村乡村道路路、晒场、厕所、防护工程等附属工程。</t>
  </si>
  <si>
    <t>2023.03-2023.10</t>
  </si>
  <si>
    <t>中央巩固拓展脱贫攻坚成果和乡村振兴任务资金790.06万元、自治区巩固拓展脱贫攻坚成果和乡村振兴任务资金4.66万元，市级本级配套35万元，县本级30.5万元.</t>
  </si>
  <si>
    <t>错那县曲卓木乡生活垃圾填埋场项目（二期）</t>
  </si>
  <si>
    <t>曲卓木村</t>
  </si>
  <si>
    <t>新建一座垃圾填埋场库容为28775立方米，处理规模为5.1吨/日，服务年限为10年，工程总占地面积为15860平方米以及相关附属设施。</t>
  </si>
  <si>
    <t>住建局</t>
  </si>
  <si>
    <t>罗布次仁</t>
  </si>
  <si>
    <t>自治区巩固拓展脱贫攻坚成果和乡村振兴任务资金468.37万元，市级本级配套50万元，本级配套50万元.</t>
  </si>
  <si>
    <t>错那县觉拉乡扎洞垃圾填埋场建设项目</t>
  </si>
  <si>
    <t>觉拉乡</t>
  </si>
  <si>
    <t>新建一座垃圾填埋场库容为10万立方米，处理规模为5.1吨/日，服务年限为10年，工程总占地面积为15860平方米以及相关附属设施。</t>
  </si>
  <si>
    <t>中央巩固拓展脱贫攻坚成果和乡村振兴任务资金1965.15万元、自治区巩固拓展脱贫攻坚成果和乡村振兴任务资金63.14万元，市级本级配套65万元，县本级15万元.</t>
  </si>
  <si>
    <t>（五）扶贫贷款贴息类</t>
  </si>
  <si>
    <t>小额信贷资金</t>
  </si>
  <si>
    <t>全县</t>
  </si>
  <si>
    <t>农业农村局</t>
  </si>
  <si>
    <t>2023.01-2023.02</t>
  </si>
  <si>
    <t>中央财政资金30.73万元</t>
  </si>
  <si>
    <t>已兑现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</si>
</sst>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  <numFmt numFmtId="42" formatCode="_ &quot;￥&quot;* #,##0_ ;_ &quot;￥&quot;* \-#,##0_ ;_ &quot;￥&quot;* &quot;-&quot;_ ;_ @_ "/>
  </numFmts>
  <fonts count="36">
    <font>
      <sz val="11"/>
      <name val="宋体"/>
      <charset val="134"/>
    </font>
    <font>
      <sz val="14"/>
      <color indexed="1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28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仿宋_GB2312"/>
      <charset val="0"/>
    </font>
    <font>
      <sz val="14"/>
      <color theme="1"/>
      <name val="宋体"/>
      <charset val="134"/>
      <scheme val="minor"/>
    </font>
    <font>
      <sz val="14"/>
      <color theme="1"/>
      <name val="华文仿宋"/>
      <charset val="134"/>
    </font>
    <font>
      <b/>
      <sz val="14"/>
      <color theme="1"/>
      <name val="华文仿宋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>
      <alignment vertical="center"/>
    </xf>
    <xf numFmtId="0" fontId="14" fillId="0" borderId="0">
      <alignment vertical="center"/>
    </xf>
    <xf numFmtId="0" fontId="28" fillId="0" borderId="0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false">
      <alignment vertical="center"/>
    </xf>
    <xf numFmtId="0" fontId="14" fillId="0" borderId="0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  <protection locked="false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 applyProtection="false">
      <alignment vertical="center"/>
    </xf>
    <xf numFmtId="0" fontId="14" fillId="0" borderId="0">
      <alignment vertical="center"/>
    </xf>
    <xf numFmtId="0" fontId="14" fillId="0" borderId="0">
      <alignment vertical="center"/>
      <protection locked="false"/>
    </xf>
    <xf numFmtId="0" fontId="14" fillId="0" borderId="0">
      <alignment vertical="center"/>
    </xf>
    <xf numFmtId="0" fontId="17" fillId="4" borderId="0" applyProtection="false">
      <alignment vertical="center"/>
    </xf>
    <xf numFmtId="0" fontId="14" fillId="4" borderId="0" applyProtection="false">
      <alignment vertical="center"/>
    </xf>
    <xf numFmtId="0" fontId="14" fillId="0" borderId="0" applyProtection="false">
      <alignment vertical="center"/>
    </xf>
    <xf numFmtId="0" fontId="29" fillId="16" borderId="11" applyProtection="false">
      <alignment vertical="center"/>
    </xf>
    <xf numFmtId="0" fontId="27" fillId="15" borderId="10" applyProtection="false">
      <alignment vertical="center"/>
    </xf>
    <xf numFmtId="0" fontId="14" fillId="0" borderId="0">
      <alignment vertical="center"/>
    </xf>
    <xf numFmtId="0" fontId="20" fillId="11" borderId="0" applyProtection="false">
      <alignment vertical="center"/>
    </xf>
    <xf numFmtId="0" fontId="26" fillId="0" borderId="8" applyProtection="false">
      <alignment vertical="center"/>
    </xf>
    <xf numFmtId="0" fontId="18" fillId="0" borderId="0">
      <alignment vertical="center"/>
    </xf>
    <xf numFmtId="0" fontId="25" fillId="0" borderId="0" applyProtection="false">
      <alignment vertical="center"/>
    </xf>
    <xf numFmtId="0" fontId="31" fillId="0" borderId="8" applyProtection="false">
      <alignment vertical="center"/>
    </xf>
    <xf numFmtId="0" fontId="14" fillId="5" borderId="0" applyProtection="false">
      <alignment vertical="center"/>
    </xf>
    <xf numFmtId="41" fontId="14" fillId="0" borderId="0" applyProtection="false">
      <alignment vertical="center"/>
    </xf>
    <xf numFmtId="0" fontId="28" fillId="0" borderId="0">
      <alignment vertical="center"/>
      <protection locked="false"/>
    </xf>
    <xf numFmtId="0" fontId="14" fillId="4" borderId="0" applyProtection="false">
      <alignment vertical="center"/>
    </xf>
    <xf numFmtId="0" fontId="34" fillId="0" borderId="0" applyProtection="false">
      <alignment vertical="center"/>
    </xf>
    <xf numFmtId="0" fontId="17" fillId="6" borderId="0" applyProtection="false">
      <alignment vertical="center"/>
    </xf>
    <xf numFmtId="0" fontId="18" fillId="0" borderId="0" applyProtection="false">
      <alignment vertical="center"/>
    </xf>
    <xf numFmtId="0" fontId="18" fillId="0" borderId="0">
      <alignment vertical="center"/>
      <protection locked="false"/>
    </xf>
    <xf numFmtId="0" fontId="23" fillId="0" borderId="9" applyProtection="false">
      <alignment vertical="center"/>
    </xf>
    <xf numFmtId="0" fontId="33" fillId="0" borderId="12" applyProtection="false">
      <alignment vertical="center"/>
    </xf>
    <xf numFmtId="0" fontId="14" fillId="17" borderId="0" applyProtection="false">
      <alignment vertical="center"/>
    </xf>
    <xf numFmtId="0" fontId="14" fillId="5" borderId="0" applyProtection="false">
      <alignment vertical="center"/>
    </xf>
    <xf numFmtId="0" fontId="17" fillId="18" borderId="0" applyProtection="false">
      <alignment vertical="center"/>
    </xf>
    <xf numFmtId="43" fontId="14" fillId="0" borderId="0">
      <alignment vertical="top"/>
      <protection locked="false"/>
    </xf>
    <xf numFmtId="0" fontId="30" fillId="0" borderId="0" applyProtection="false">
      <alignment vertical="center"/>
    </xf>
    <xf numFmtId="0" fontId="35" fillId="0" borderId="0" applyProtection="false">
      <alignment vertical="center"/>
    </xf>
    <xf numFmtId="0" fontId="14" fillId="0" borderId="0" applyProtection="false">
      <alignment vertical="center"/>
    </xf>
    <xf numFmtId="0" fontId="14" fillId="3" borderId="0" applyProtection="false">
      <alignment vertical="center"/>
    </xf>
    <xf numFmtId="0" fontId="18" fillId="0" borderId="0">
      <alignment vertical="center"/>
    </xf>
    <xf numFmtId="0" fontId="24" fillId="0" borderId="7" applyProtection="false">
      <alignment vertical="center"/>
    </xf>
    <xf numFmtId="0" fontId="23" fillId="0" borderId="0" applyProtection="false">
      <alignment vertical="center"/>
    </xf>
    <xf numFmtId="0" fontId="14" fillId="11" borderId="0" applyProtection="false">
      <alignment vertical="center"/>
    </xf>
    <xf numFmtId="42" fontId="14" fillId="0" borderId="0" applyProtection="false">
      <alignment vertical="center"/>
    </xf>
    <xf numFmtId="0" fontId="14" fillId="0" borderId="0">
      <alignment vertical="center"/>
    </xf>
    <xf numFmtId="0" fontId="14" fillId="11" borderId="0">
      <alignment vertical="center"/>
      <protection locked="false"/>
    </xf>
    <xf numFmtId="0" fontId="22" fillId="0" borderId="0" applyProtection="false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11" borderId="0" applyProtection="false">
      <alignment vertical="center"/>
    </xf>
    <xf numFmtId="0" fontId="14" fillId="10" borderId="6" applyProtection="false">
      <alignment vertical="center"/>
    </xf>
    <xf numFmtId="0" fontId="17" fillId="9" borderId="0" applyProtection="false">
      <alignment vertical="center"/>
    </xf>
    <xf numFmtId="0" fontId="21" fillId="9" borderId="0" applyProtection="false">
      <alignment vertical="center"/>
    </xf>
    <xf numFmtId="0" fontId="14" fillId="8" borderId="0" applyProtection="false">
      <alignment vertical="center"/>
    </xf>
    <xf numFmtId="0" fontId="0" fillId="0" borderId="0">
      <alignment vertical="center"/>
    </xf>
    <xf numFmtId="0" fontId="20" fillId="7" borderId="0" applyProtection="false">
      <alignment vertical="center"/>
    </xf>
    <xf numFmtId="0" fontId="0" fillId="0" borderId="0">
      <alignment vertical="center"/>
    </xf>
    <xf numFmtId="0" fontId="19" fillId="0" borderId="0">
      <alignment vertical="center"/>
      <protection locked="false"/>
    </xf>
    <xf numFmtId="0" fontId="32" fillId="16" borderId="5" applyProtection="false">
      <alignment vertical="center"/>
    </xf>
    <xf numFmtId="0" fontId="17" fillId="6" borderId="0" applyProtection="false">
      <alignment vertical="center"/>
    </xf>
    <xf numFmtId="0" fontId="17" fillId="3" borderId="0" applyProtection="false">
      <alignment vertical="center"/>
    </xf>
    <xf numFmtId="0" fontId="17" fillId="5" borderId="0" applyProtection="false">
      <alignment vertical="center"/>
    </xf>
    <xf numFmtId="0" fontId="17" fillId="14" borderId="0" applyProtection="false">
      <alignment vertical="center"/>
    </xf>
    <xf numFmtId="0" fontId="14" fillId="0" borderId="0">
      <alignment vertical="center"/>
      <protection locked="false"/>
    </xf>
    <xf numFmtId="0" fontId="18" fillId="0" borderId="0" applyProtection="false">
      <alignment vertical="center"/>
    </xf>
    <xf numFmtId="0" fontId="17" fillId="5" borderId="0" applyProtection="false">
      <alignment vertical="center"/>
    </xf>
    <xf numFmtId="0" fontId="16" fillId="0" borderId="0">
      <alignment vertical="center"/>
    </xf>
    <xf numFmtId="9" fontId="14" fillId="0" borderId="0" applyProtection="false">
      <alignment vertical="center"/>
    </xf>
    <xf numFmtId="0" fontId="17" fillId="11" borderId="0" applyProtection="false">
      <alignment vertical="center"/>
    </xf>
    <xf numFmtId="178" fontId="14" fillId="0" borderId="0" applyProtection="false">
      <alignment vertical="center"/>
    </xf>
    <xf numFmtId="0" fontId="17" fillId="12" borderId="0" applyProtection="false">
      <alignment vertical="center"/>
    </xf>
    <xf numFmtId="0" fontId="14" fillId="9" borderId="0" applyProtection="false">
      <alignment vertical="center"/>
    </xf>
    <xf numFmtId="0" fontId="15" fillId="4" borderId="5" applyProtection="false">
      <alignment vertical="center"/>
    </xf>
    <xf numFmtId="0" fontId="14" fillId="9" borderId="0" applyProtection="false">
      <alignment vertical="center"/>
    </xf>
    <xf numFmtId="0" fontId="17" fillId="13" borderId="0" applyProtection="false">
      <alignment vertical="center"/>
    </xf>
    <xf numFmtId="0" fontId="14" fillId="3" borderId="0" applyProtection="false">
      <alignment vertical="center"/>
    </xf>
  </cellStyleXfs>
  <cellXfs count="49"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2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2" borderId="0" xfId="0" applyFont="true" applyFill="true" applyBorder="true" applyAlignment="true">
      <alignment vertical="center" wrapText="true"/>
    </xf>
    <xf numFmtId="0" fontId="2" fillId="2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49" fontId="2" fillId="0" borderId="0" xfId="0" applyNumberFormat="true" applyFont="true" applyFill="true" applyBorder="true" applyAlignment="true">
      <alignment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>
      <alignment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6" fillId="2" borderId="2" xfId="0" applyNumberFormat="true" applyFont="true" applyFill="true" applyBorder="true" applyAlignment="true">
      <alignment horizontal="center" vertical="center" wrapText="true"/>
    </xf>
    <xf numFmtId="0" fontId="6" fillId="2" borderId="3" xfId="0" applyNumberFormat="true" applyFont="true" applyFill="true" applyBorder="true" applyAlignment="true">
      <alignment horizontal="center" vertical="center" wrapText="true"/>
    </xf>
    <xf numFmtId="0" fontId="6" fillId="2" borderId="4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177" fontId="6" fillId="2" borderId="1" xfId="4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176" fontId="9" fillId="2" borderId="1" xfId="0" applyNumberFormat="true" applyFont="true" applyFill="true" applyBorder="true" applyAlignment="true">
      <alignment horizontal="center" vertical="center" wrapText="true"/>
    </xf>
    <xf numFmtId="49" fontId="10" fillId="2" borderId="1" xfId="4" applyNumberFormat="true" applyFont="true" applyFill="true" applyBorder="true" applyAlignment="true" applyProtection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left" vertical="center" wrapText="true"/>
    </xf>
    <xf numFmtId="176" fontId="11" fillId="2" borderId="1" xfId="0" applyNumberFormat="true" applyFont="true" applyFill="true" applyBorder="true" applyAlignment="true">
      <alignment horizontal="center" vertical="center" wrapText="true"/>
    </xf>
    <xf numFmtId="176" fontId="10" fillId="2" borderId="1" xfId="0" applyNumberFormat="true" applyFont="true" applyFill="true" applyBorder="true" applyAlignment="true">
      <alignment horizontal="center" vertical="center" wrapText="true"/>
    </xf>
    <xf numFmtId="176" fontId="12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176" fontId="13" fillId="2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</cellXfs>
  <cellStyles count="82">
    <cellStyle name="常规" xfId="0" builtinId="0"/>
    <cellStyle name="常规 4" xfId="1"/>
    <cellStyle name="常规 22" xfId="2"/>
    <cellStyle name="常规 2 2 3 2" xfId="3"/>
    <cellStyle name="常规_Sheet1" xfId="4"/>
    <cellStyle name="常规 2" xfId="5"/>
    <cellStyle name="常规 11" xfId="6"/>
    <cellStyle name="常规 100" xfId="7"/>
    <cellStyle name="常规 100 2" xfId="8"/>
    <cellStyle name="常规 51" xfId="9"/>
    <cellStyle name="常规 16" xfId="10"/>
    <cellStyle name="常规_项目投入明细_11" xfId="11"/>
    <cellStyle name="常规_项目投入明细_10" xfId="12"/>
    <cellStyle name="常规 6" xfId="13"/>
    <cellStyle name="常规_副本西藏自治区贫困县统筹整合使用财政涉农资金情况统计表（模版）参考表" xfId="14"/>
    <cellStyle name="常规 12 3 2 2 2" xfId="15"/>
    <cellStyle name="60% - 强调文字颜色 6" xfId="16" builtinId="52"/>
    <cellStyle name="20% - 强调文字颜色 6" xfId="17" builtinId="50"/>
    <cellStyle name="常规 3 2 4" xfId="18"/>
    <cellStyle name="输出" xfId="19" builtinId="21"/>
    <cellStyle name="检查单元格" xfId="20" builtinId="23"/>
    <cellStyle name="常规 2 2 18" xfId="21"/>
    <cellStyle name="差" xfId="22" builtinId="27"/>
    <cellStyle name="标题 1" xfId="23" builtinId="16"/>
    <cellStyle name="常规 2 2 2" xfId="24"/>
    <cellStyle name="解释性文本" xfId="25" builtinId="53"/>
    <cellStyle name="标题 2" xfId="26" builtinId="17"/>
    <cellStyle name="40% - 强调文字颜色 5" xfId="27" builtinId="47"/>
    <cellStyle name="千位分隔[0]" xfId="28" builtinId="6"/>
    <cellStyle name="常规 73" xfId="29"/>
    <cellStyle name="40% - 强调文字颜色 6" xfId="30" builtinId="51"/>
    <cellStyle name="超链接" xfId="31" builtinId="8"/>
    <cellStyle name="强调文字颜色 5" xfId="32" builtinId="45"/>
    <cellStyle name="常规 10 5" xfId="33"/>
    <cellStyle name="常规 2 2 6" xfId="34"/>
    <cellStyle name="标题 3" xfId="35" builtinId="18"/>
    <cellStyle name="汇总" xfId="36" builtinId="25"/>
    <cellStyle name="20% - 强调文字颜色 1" xfId="37" builtinId="30"/>
    <cellStyle name="40% - 强调文字颜色 1" xfId="38" builtinId="31"/>
    <cellStyle name="强调文字颜色 6" xfId="39" builtinId="49"/>
    <cellStyle name="千位分隔" xfId="40" builtinId="3"/>
    <cellStyle name="标题" xfId="41" builtinId="15"/>
    <cellStyle name="已访问的超链接" xfId="42" builtinId="9"/>
    <cellStyle name="常规 2 2" xfId="43"/>
    <cellStyle name="40% - 强调文字颜色 4" xfId="44" builtinId="43"/>
    <cellStyle name="常规 3" xfId="45"/>
    <cellStyle name="链接单元格" xfId="46" builtinId="24"/>
    <cellStyle name="标题 4" xfId="47" builtinId="19"/>
    <cellStyle name="20% - 强调文字颜色 2" xfId="48" builtinId="34"/>
    <cellStyle name="货币[0]" xfId="49" builtinId="7"/>
    <cellStyle name="常规 2 2 3" xfId="50"/>
    <cellStyle name="20% - 强调文字颜色 2 7 4 4" xfId="51"/>
    <cellStyle name="警告文本" xfId="52" builtinId="11"/>
    <cellStyle name="常规 101 2" xfId="53"/>
    <cellStyle name="常规 8" xfId="54"/>
    <cellStyle name="40% - 强调文字颜色 2" xfId="55" builtinId="35"/>
    <cellStyle name="注释" xfId="56" builtinId="10"/>
    <cellStyle name="60% - 强调文字颜色 3" xfId="57" builtinId="40"/>
    <cellStyle name="好" xfId="58" builtinId="26"/>
    <cellStyle name="20% - 强调文字颜色 5" xfId="59" builtinId="46"/>
    <cellStyle name="样式 15" xfId="60"/>
    <cellStyle name="适中" xfId="61" builtinId="28"/>
    <cellStyle name="常规 7 2" xfId="62"/>
    <cellStyle name="常规_项目投入明细_8" xfId="63"/>
    <cellStyle name="计算" xfId="64" builtinId="22"/>
    <cellStyle name="强调文字颜色 1" xfId="65" builtinId="29"/>
    <cellStyle name="60% - 强调文字颜色 4" xfId="66" builtinId="44"/>
    <cellStyle name="60% - 强调文字颜色 1" xfId="67" builtinId="32"/>
    <cellStyle name="强调文字颜色 2" xfId="68" builtinId="33"/>
    <cellStyle name="常规 14 10" xfId="69"/>
    <cellStyle name="常规 2 2 2 2" xfId="70"/>
    <cellStyle name="60% - 强调文字颜色 5" xfId="71" builtinId="48"/>
    <cellStyle name="常规_重新梳理十二五项目-3-10金主任办后改建设内容" xfId="72"/>
    <cellStyle name="百分比" xfId="73" builtinId="5"/>
    <cellStyle name="60% - 强调文字颜色 2" xfId="74" builtinId="36"/>
    <cellStyle name="货币" xfId="75" builtinId="4"/>
    <cellStyle name="强调文字颜色 3" xfId="76" builtinId="37"/>
    <cellStyle name="20% - 强调文字颜色 3" xfId="77" builtinId="38"/>
    <cellStyle name="输入" xfId="78" builtinId="20"/>
    <cellStyle name="40% - 强调文字颜色 3" xfId="79" builtinId="39"/>
    <cellStyle name="强调文字颜色 4" xfId="80" builtinId="41"/>
    <cellStyle name="20% - 强调文字颜色 4" xfId="81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8"/>
  <sheetViews>
    <sheetView tabSelected="1" view="pageBreakPreview" zoomScaleNormal="50" zoomScaleSheetLayoutView="100" topLeftCell="T1" workbookViewId="0">
      <pane ySplit="4" topLeftCell="A15" activePane="bottomLeft" state="frozen"/>
      <selection/>
      <selection pane="bottomLeft" activeCell="A2" sqref="A2:X2"/>
    </sheetView>
  </sheetViews>
  <sheetFormatPr defaultColWidth="9" defaultRowHeight="60" customHeight="true"/>
  <cols>
    <col min="1" max="1" width="8.95833333333333" style="8" customWidth="true"/>
    <col min="2" max="2" width="15" style="3" customWidth="true"/>
    <col min="3" max="3" width="34.375" style="3" customWidth="true"/>
    <col min="4" max="4" width="17.5083333333333" style="3" customWidth="true"/>
    <col min="5" max="5" width="53.75" style="9" customWidth="true"/>
    <col min="6" max="6" width="16.875" style="3" customWidth="true"/>
    <col min="7" max="7" width="14.1666666666667" style="10" customWidth="true"/>
    <col min="8" max="8" width="19.5833333333333" style="10" customWidth="true"/>
    <col min="9" max="9" width="56.5916666666667" style="3" customWidth="true"/>
    <col min="10" max="10" width="15.8333333333333" style="11" customWidth="true"/>
    <col min="11" max="11" width="17.2916666666667" style="11" customWidth="true"/>
    <col min="12" max="12" width="15" style="10" customWidth="true"/>
    <col min="13" max="13" width="18.125" style="10" customWidth="true"/>
    <col min="14" max="14" width="19.5833333333333" style="10" customWidth="true"/>
    <col min="15" max="15" width="20.2083333333333" style="12" customWidth="true"/>
    <col min="16" max="16" width="21.0416666666667" style="10" customWidth="true"/>
    <col min="17" max="17" width="26.0416666666667" style="10" customWidth="true"/>
    <col min="18" max="18" width="26.6666666666667" style="13" customWidth="true"/>
    <col min="19" max="19" width="14.375" style="13" customWidth="true"/>
    <col min="20" max="20" width="17.9166666666667" style="13" customWidth="true"/>
    <col min="21" max="21" width="15" style="13" customWidth="true"/>
    <col min="22" max="22" width="12.9166666666667" style="13" customWidth="true"/>
    <col min="23" max="23" width="48.5416666666667" style="13" customWidth="true"/>
    <col min="24" max="24" width="28.125" style="10" customWidth="true"/>
    <col min="25" max="25" width="14.5083333333333" style="10" customWidth="true"/>
    <col min="26" max="26" width="12.8833333333333" style="10" customWidth="true"/>
    <col min="27" max="27" width="14.5083333333333" style="10" customWidth="true"/>
    <col min="28" max="28" width="23.3833333333333" style="10" customWidth="true"/>
    <col min="29" max="29" width="9.38333333333333" style="10" customWidth="true"/>
    <col min="30" max="16383" width="9" style="3"/>
  </cols>
  <sheetData>
    <row r="1" s="1" customFormat="true" customHeight="true" spans="1:29">
      <c r="A1" s="14" t="s">
        <v>0</v>
      </c>
      <c r="B1" s="15"/>
      <c r="C1" s="15"/>
      <c r="D1" s="15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38"/>
      <c r="S1" s="38"/>
      <c r="T1" s="38"/>
      <c r="U1" s="38"/>
      <c r="V1" s="38"/>
      <c r="W1" s="15"/>
      <c r="X1" s="15"/>
      <c r="Y1" s="43"/>
      <c r="Z1" s="43"/>
      <c r="AA1" s="43"/>
      <c r="AB1" s="43"/>
      <c r="AC1" s="43"/>
    </row>
    <row r="2" s="1" customFormat="true" customHeight="true" spans="1:29">
      <c r="A2" s="16" t="s">
        <v>1</v>
      </c>
      <c r="B2" s="17"/>
      <c r="C2" s="17"/>
      <c r="D2" s="17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39"/>
      <c r="S2" s="39"/>
      <c r="T2" s="39"/>
      <c r="U2" s="39"/>
      <c r="V2" s="39"/>
      <c r="W2" s="17"/>
      <c r="X2" s="17"/>
      <c r="Y2" s="43"/>
      <c r="Z2" s="43"/>
      <c r="AA2" s="43"/>
      <c r="AB2" s="43"/>
      <c r="AC2" s="43"/>
    </row>
    <row r="3" s="1" customFormat="true" customHeight="true" spans="1:29">
      <c r="A3" s="16" t="s">
        <v>2</v>
      </c>
      <c r="B3" s="17" t="s">
        <v>3</v>
      </c>
      <c r="C3" s="17" t="s">
        <v>4</v>
      </c>
      <c r="D3" s="17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/>
      <c r="K3" s="17" t="s">
        <v>11</v>
      </c>
      <c r="L3" s="17"/>
      <c r="M3" s="17"/>
      <c r="N3" s="17"/>
      <c r="O3" s="17"/>
      <c r="P3" s="17"/>
      <c r="Q3" s="17"/>
      <c r="R3" s="39" t="s">
        <v>12</v>
      </c>
      <c r="S3" s="39" t="s">
        <v>13</v>
      </c>
      <c r="T3" s="39" t="s">
        <v>14</v>
      </c>
      <c r="U3" s="39" t="s">
        <v>15</v>
      </c>
      <c r="V3" s="39"/>
      <c r="W3" s="17" t="s">
        <v>16</v>
      </c>
      <c r="X3" s="17" t="s">
        <v>17</v>
      </c>
      <c r="Y3" s="43"/>
      <c r="Z3" s="43"/>
      <c r="AA3" s="43"/>
      <c r="AB3" s="43"/>
      <c r="AC3" s="43"/>
    </row>
    <row r="4" s="1" customFormat="true" customHeight="true" spans="1:29">
      <c r="A4" s="16"/>
      <c r="B4" s="17"/>
      <c r="C4" s="17"/>
      <c r="D4" s="17"/>
      <c r="E4" s="16"/>
      <c r="F4" s="17"/>
      <c r="G4" s="17"/>
      <c r="H4" s="17"/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22</v>
      </c>
      <c r="N4" s="17" t="s">
        <v>23</v>
      </c>
      <c r="O4" s="17" t="s">
        <v>24</v>
      </c>
      <c r="P4" s="17" t="s">
        <v>25</v>
      </c>
      <c r="Q4" s="17" t="s">
        <v>26</v>
      </c>
      <c r="R4" s="39"/>
      <c r="S4" s="39"/>
      <c r="T4" s="39"/>
      <c r="U4" s="39" t="s">
        <v>27</v>
      </c>
      <c r="V4" s="39" t="s">
        <v>28</v>
      </c>
      <c r="W4" s="17"/>
      <c r="X4" s="17"/>
      <c r="Y4" s="43"/>
      <c r="Z4" s="43"/>
      <c r="AA4" s="43"/>
      <c r="AB4" s="43"/>
      <c r="AC4" s="43"/>
    </row>
    <row r="5" s="1" customFormat="true" customHeight="true" spans="1:29">
      <c r="A5" s="16" t="s">
        <v>29</v>
      </c>
      <c r="B5" s="17"/>
      <c r="C5" s="17"/>
      <c r="D5" s="17"/>
      <c r="E5" s="26">
        <f>E6+E10+E16+E19+E26</f>
        <v>17</v>
      </c>
      <c r="F5" s="17"/>
      <c r="G5" s="17"/>
      <c r="H5" s="27"/>
      <c r="I5" s="34">
        <v>155.69</v>
      </c>
      <c r="J5" s="35">
        <f>J6+J10+J16+J19+J26</f>
        <v>23957.3</v>
      </c>
      <c r="K5" s="35">
        <f>K6+K10+K16+K19+K26</f>
        <v>23957.3</v>
      </c>
      <c r="L5" s="35">
        <f>L6+L10+L16+L19+L26</f>
        <v>17138.84</v>
      </c>
      <c r="M5" s="35">
        <f>M6+M10+M16+M19</f>
        <v>5608.46</v>
      </c>
      <c r="N5" s="35">
        <f>N6+N10+N16+N19+N26</f>
        <v>660</v>
      </c>
      <c r="O5" s="35">
        <f>O6+O10+O16+O19+O26</f>
        <v>550</v>
      </c>
      <c r="P5" s="35">
        <f t="shared" ref="N5:V5" si="0">P6+P10+P16+P19+P26</f>
        <v>0</v>
      </c>
      <c r="Q5" s="35">
        <f t="shared" si="0"/>
        <v>0</v>
      </c>
      <c r="R5" s="35">
        <f t="shared" si="0"/>
        <v>601.4</v>
      </c>
      <c r="S5" s="40">
        <f t="shared" si="0"/>
        <v>5792</v>
      </c>
      <c r="T5" s="40">
        <f t="shared" si="0"/>
        <v>16672</v>
      </c>
      <c r="U5" s="40">
        <f t="shared" si="0"/>
        <v>264</v>
      </c>
      <c r="V5" s="40">
        <f t="shared" si="0"/>
        <v>519</v>
      </c>
      <c r="W5" s="42"/>
      <c r="X5" s="42"/>
      <c r="Y5" s="43"/>
      <c r="Z5" s="43"/>
      <c r="AA5" s="43"/>
      <c r="AB5" s="43"/>
      <c r="AC5" s="43"/>
    </row>
    <row r="6" s="1" customFormat="true" customHeight="true" spans="1:29">
      <c r="A6" s="16" t="s">
        <v>30</v>
      </c>
      <c r="B6" s="18"/>
      <c r="C6" s="18"/>
      <c r="D6" s="18"/>
      <c r="E6" s="16" t="s">
        <v>31</v>
      </c>
      <c r="F6" s="17"/>
      <c r="G6" s="17"/>
      <c r="H6" s="27"/>
      <c r="I6" s="34"/>
      <c r="J6" s="35">
        <f>SUM(J7:J9)</f>
        <v>6306.46</v>
      </c>
      <c r="K6" s="35">
        <f t="shared" ref="J6:V6" si="1">SUM(K7:K9)</f>
        <v>6306.46</v>
      </c>
      <c r="L6" s="35">
        <f t="shared" si="1"/>
        <v>4433</v>
      </c>
      <c r="M6" s="35">
        <f t="shared" si="1"/>
        <v>1613.46</v>
      </c>
      <c r="N6" s="35">
        <f t="shared" si="1"/>
        <v>110</v>
      </c>
      <c r="O6" s="35">
        <f t="shared" si="1"/>
        <v>150</v>
      </c>
      <c r="P6" s="35">
        <f t="shared" si="1"/>
        <v>0</v>
      </c>
      <c r="Q6" s="35">
        <f t="shared" si="1"/>
        <v>0</v>
      </c>
      <c r="R6" s="35">
        <f t="shared" si="1"/>
        <v>57</v>
      </c>
      <c r="S6" s="40">
        <f t="shared" si="1"/>
        <v>142</v>
      </c>
      <c r="T6" s="40">
        <f t="shared" si="1"/>
        <v>484</v>
      </c>
      <c r="U6" s="40">
        <f t="shared" si="1"/>
        <v>52</v>
      </c>
      <c r="V6" s="40">
        <f t="shared" si="1"/>
        <v>112</v>
      </c>
      <c r="W6" s="42"/>
      <c r="X6" s="42"/>
      <c r="Y6" s="43"/>
      <c r="Z6" s="43"/>
      <c r="AA6" s="43"/>
      <c r="AB6" s="43"/>
      <c r="AC6" s="43"/>
    </row>
    <row r="7" s="2" customFormat="true" ht="75" customHeight="true" spans="1:16383">
      <c r="A7" s="19">
        <v>1</v>
      </c>
      <c r="B7" s="19" t="s">
        <v>32</v>
      </c>
      <c r="C7" s="19" t="s">
        <v>33</v>
      </c>
      <c r="D7" s="19" t="s">
        <v>34</v>
      </c>
      <c r="E7" s="28" t="s">
        <v>35</v>
      </c>
      <c r="F7" s="19" t="s">
        <v>36</v>
      </c>
      <c r="G7" s="19" t="s">
        <v>37</v>
      </c>
      <c r="H7" s="19" t="s">
        <v>38</v>
      </c>
      <c r="I7" s="28" t="s">
        <v>39</v>
      </c>
      <c r="J7" s="21">
        <v>400</v>
      </c>
      <c r="K7" s="21">
        <v>400</v>
      </c>
      <c r="L7" s="21">
        <v>400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12</v>
      </c>
      <c r="S7" s="25">
        <v>50</v>
      </c>
      <c r="T7" s="25">
        <v>175</v>
      </c>
      <c r="U7" s="25">
        <v>18</v>
      </c>
      <c r="V7" s="25">
        <v>35</v>
      </c>
      <c r="W7" s="30" t="s">
        <v>40</v>
      </c>
      <c r="X7" s="35"/>
      <c r="Y7" s="44"/>
      <c r="Z7" s="44"/>
      <c r="AA7" s="44"/>
      <c r="AB7" s="44"/>
      <c r="AC7" s="44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</row>
    <row r="8" s="2" customFormat="true" ht="78" customHeight="true" spans="1:16383">
      <c r="A8" s="19">
        <v>2</v>
      </c>
      <c r="B8" s="19" t="s">
        <v>32</v>
      </c>
      <c r="C8" s="19" t="s">
        <v>41</v>
      </c>
      <c r="D8" s="19" t="s">
        <v>34</v>
      </c>
      <c r="E8" s="28" t="s">
        <v>42</v>
      </c>
      <c r="F8" s="19" t="s">
        <v>43</v>
      </c>
      <c r="G8" s="19" t="s">
        <v>44</v>
      </c>
      <c r="H8" s="19" t="s">
        <v>45</v>
      </c>
      <c r="I8" s="28" t="s">
        <v>46</v>
      </c>
      <c r="J8" s="21">
        <f>L8+M8+N8+O8</f>
        <v>3906.46</v>
      </c>
      <c r="K8" s="21">
        <f>L8+M8+N8+O8</f>
        <v>3906.46</v>
      </c>
      <c r="L8" s="21">
        <v>2033</v>
      </c>
      <c r="M8" s="21">
        <f>1413.46+100+100</f>
        <v>1613.46</v>
      </c>
      <c r="N8" s="21">
        <f>210-50-50</f>
        <v>110</v>
      </c>
      <c r="O8" s="21">
        <f>200-50</f>
        <v>150</v>
      </c>
      <c r="P8" s="21">
        <v>0</v>
      </c>
      <c r="Q8" s="21">
        <v>0</v>
      </c>
      <c r="R8" s="21">
        <v>25</v>
      </c>
      <c r="S8" s="25">
        <v>50</v>
      </c>
      <c r="T8" s="25">
        <v>175</v>
      </c>
      <c r="U8" s="25">
        <v>18</v>
      </c>
      <c r="V8" s="25">
        <v>35</v>
      </c>
      <c r="W8" s="30" t="s">
        <v>47</v>
      </c>
      <c r="X8" s="42">
        <f>2475/K8</f>
        <v>0.633565939495093</v>
      </c>
      <c r="Y8" s="44"/>
      <c r="Z8" s="44"/>
      <c r="AA8" s="44"/>
      <c r="AB8" s="44"/>
      <c r="AC8" s="44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</row>
    <row r="9" s="2" customFormat="true" ht="86" customHeight="true" spans="1:16383">
      <c r="A9" s="19">
        <v>3</v>
      </c>
      <c r="B9" s="19" t="s">
        <v>32</v>
      </c>
      <c r="C9" s="19" t="s">
        <v>48</v>
      </c>
      <c r="D9" s="19" t="s">
        <v>34</v>
      </c>
      <c r="E9" s="28" t="s">
        <v>49</v>
      </c>
      <c r="F9" s="19" t="s">
        <v>43</v>
      </c>
      <c r="G9" s="19" t="s">
        <v>44</v>
      </c>
      <c r="H9" s="19" t="s">
        <v>50</v>
      </c>
      <c r="I9" s="28" t="s">
        <v>51</v>
      </c>
      <c r="J9" s="21">
        <v>2000</v>
      </c>
      <c r="K9" s="21">
        <v>2000</v>
      </c>
      <c r="L9" s="21">
        <v>2000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20</v>
      </c>
      <c r="S9" s="25">
        <v>42</v>
      </c>
      <c r="T9" s="25">
        <v>134</v>
      </c>
      <c r="U9" s="25">
        <v>16</v>
      </c>
      <c r="V9" s="25">
        <v>42</v>
      </c>
      <c r="W9" s="30" t="s">
        <v>47</v>
      </c>
      <c r="X9" s="42"/>
      <c r="Y9" s="44"/>
      <c r="Z9" s="44"/>
      <c r="AA9" s="44"/>
      <c r="AB9" s="44"/>
      <c r="AC9" s="44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</row>
    <row r="10" s="1" customFormat="true" ht="86" customHeight="true" spans="1:29">
      <c r="A10" s="16" t="s">
        <v>52</v>
      </c>
      <c r="B10" s="18"/>
      <c r="C10" s="18"/>
      <c r="D10" s="18"/>
      <c r="E10" s="29" t="s">
        <v>53</v>
      </c>
      <c r="F10" s="17"/>
      <c r="G10" s="17"/>
      <c r="H10" s="27"/>
      <c r="I10" s="17"/>
      <c r="J10" s="35">
        <f t="shared" ref="J10:O10" si="2">SUM(J11:J15)</f>
        <v>8129.94</v>
      </c>
      <c r="K10" s="35">
        <f t="shared" si="2"/>
        <v>8129.94</v>
      </c>
      <c r="L10" s="35">
        <f t="shared" si="2"/>
        <v>5654.34</v>
      </c>
      <c r="M10" s="35">
        <f t="shared" si="2"/>
        <v>2096.03</v>
      </c>
      <c r="N10" s="35">
        <f t="shared" si="2"/>
        <v>219.24</v>
      </c>
      <c r="O10" s="35">
        <f t="shared" si="2"/>
        <v>160.33</v>
      </c>
      <c r="P10" s="35">
        <f t="shared" ref="J10:V10" si="3">SUM(P11:P15)</f>
        <v>0</v>
      </c>
      <c r="Q10" s="35">
        <f t="shared" si="3"/>
        <v>0</v>
      </c>
      <c r="R10" s="35">
        <f t="shared" si="3"/>
        <v>217.6</v>
      </c>
      <c r="S10" s="35">
        <f t="shared" si="3"/>
        <v>1625</v>
      </c>
      <c r="T10" s="35">
        <f t="shared" si="3"/>
        <v>4369</v>
      </c>
      <c r="U10" s="35">
        <f t="shared" si="3"/>
        <v>109</v>
      </c>
      <c r="V10" s="35">
        <f t="shared" si="3"/>
        <v>199</v>
      </c>
      <c r="W10" s="36"/>
      <c r="X10" s="27"/>
      <c r="Y10" s="43"/>
      <c r="Z10" s="43"/>
      <c r="AA10" s="43"/>
      <c r="AB10" s="43"/>
      <c r="AC10" s="43"/>
    </row>
    <row r="11" s="3" customFormat="true" ht="87" customHeight="true" spans="1:29">
      <c r="A11" s="20" t="s">
        <v>54</v>
      </c>
      <c r="B11" s="21" t="s">
        <v>32</v>
      </c>
      <c r="C11" s="21" t="s">
        <v>55</v>
      </c>
      <c r="D11" s="21" t="s">
        <v>56</v>
      </c>
      <c r="E11" s="30" t="s">
        <v>57</v>
      </c>
      <c r="F11" s="21" t="s">
        <v>58</v>
      </c>
      <c r="G11" s="21" t="s">
        <v>59</v>
      </c>
      <c r="H11" s="21" t="s">
        <v>60</v>
      </c>
      <c r="I11" s="30" t="s">
        <v>61</v>
      </c>
      <c r="J11" s="21">
        <v>698.23</v>
      </c>
      <c r="K11" s="21">
        <v>698.23</v>
      </c>
      <c r="L11" s="21">
        <v>0</v>
      </c>
      <c r="M11" s="21">
        <f>698.23-100</f>
        <v>598.23</v>
      </c>
      <c r="N11" s="21">
        <v>50</v>
      </c>
      <c r="O11" s="21">
        <v>50</v>
      </c>
      <c r="P11" s="21">
        <v>0</v>
      </c>
      <c r="Q11" s="21">
        <v>0</v>
      </c>
      <c r="R11" s="25">
        <v>33</v>
      </c>
      <c r="S11" s="25">
        <v>84</v>
      </c>
      <c r="T11" s="25">
        <v>302</v>
      </c>
      <c r="U11" s="25">
        <v>5</v>
      </c>
      <c r="V11" s="25">
        <v>6</v>
      </c>
      <c r="W11" s="30" t="s">
        <v>40</v>
      </c>
      <c r="X11" s="21"/>
      <c r="Y11" s="10"/>
      <c r="Z11" s="10"/>
      <c r="AA11" s="10"/>
      <c r="AB11" s="10"/>
      <c r="AC11" s="10"/>
    </row>
    <row r="12" s="3" customFormat="true" ht="87" customHeight="true" spans="1:29">
      <c r="A12" s="20" t="s">
        <v>62</v>
      </c>
      <c r="B12" s="21" t="s">
        <v>32</v>
      </c>
      <c r="C12" s="21" t="s">
        <v>63</v>
      </c>
      <c r="D12" s="21" t="s">
        <v>64</v>
      </c>
      <c r="E12" s="30" t="s">
        <v>65</v>
      </c>
      <c r="F12" s="21" t="s">
        <v>58</v>
      </c>
      <c r="G12" s="21" t="s">
        <v>59</v>
      </c>
      <c r="H12" s="21" t="s">
        <v>60</v>
      </c>
      <c r="I12" s="30" t="s">
        <v>66</v>
      </c>
      <c r="J12" s="21">
        <v>1856.03</v>
      </c>
      <c r="K12" s="21">
        <v>1856.03</v>
      </c>
      <c r="L12" s="21">
        <v>1400</v>
      </c>
      <c r="M12" s="21">
        <f>157.47+30+200</f>
        <v>387.47</v>
      </c>
      <c r="N12" s="21">
        <v>41.1</v>
      </c>
      <c r="O12" s="21">
        <f>57.46-30</f>
        <v>27.46</v>
      </c>
      <c r="P12" s="21">
        <v>0</v>
      </c>
      <c r="Q12" s="21">
        <v>0</v>
      </c>
      <c r="R12" s="25">
        <v>42.3</v>
      </c>
      <c r="S12" s="25">
        <v>456</v>
      </c>
      <c r="T12" s="25">
        <v>1000</v>
      </c>
      <c r="U12" s="25">
        <v>48</v>
      </c>
      <c r="V12" s="25">
        <v>88</v>
      </c>
      <c r="W12" s="30" t="s">
        <v>40</v>
      </c>
      <c r="X12" s="21"/>
      <c r="Y12" s="10"/>
      <c r="Z12" s="10"/>
      <c r="AA12" s="10"/>
      <c r="AB12" s="10"/>
      <c r="AC12" s="10"/>
    </row>
    <row r="13" s="4" customFormat="true" ht="87" customHeight="true" spans="1:29">
      <c r="A13" s="20" t="s">
        <v>31</v>
      </c>
      <c r="B13" s="21" t="s">
        <v>32</v>
      </c>
      <c r="C13" s="21" t="s">
        <v>67</v>
      </c>
      <c r="D13" s="21" t="s">
        <v>68</v>
      </c>
      <c r="E13" s="30" t="s">
        <v>69</v>
      </c>
      <c r="F13" s="21" t="s">
        <v>58</v>
      </c>
      <c r="G13" s="21" t="s">
        <v>59</v>
      </c>
      <c r="H13" s="21" t="s">
        <v>60</v>
      </c>
      <c r="I13" s="30" t="s">
        <v>70</v>
      </c>
      <c r="J13" s="21">
        <v>2087.69</v>
      </c>
      <c r="K13" s="21">
        <v>2087.69</v>
      </c>
      <c r="L13" s="21">
        <f>1703.49-3.49+50-300</f>
        <v>1450</v>
      </c>
      <c r="M13" s="21">
        <f>149.7+85-100+50+10+30+100+100+26.61+110</f>
        <v>561.31</v>
      </c>
      <c r="N13" s="21">
        <f>152.7+0.29-50-10+100-100+50.15-50-30-10</f>
        <v>53.14</v>
      </c>
      <c r="O13" s="21">
        <f>20+100-26.61-50.15-20</f>
        <v>23.24</v>
      </c>
      <c r="P13" s="21">
        <v>0</v>
      </c>
      <c r="Q13" s="21">
        <v>0</v>
      </c>
      <c r="R13" s="25">
        <v>52.3</v>
      </c>
      <c r="S13" s="25">
        <v>126</v>
      </c>
      <c r="T13" s="25">
        <v>362</v>
      </c>
      <c r="U13" s="25">
        <v>13</v>
      </c>
      <c r="V13" s="25">
        <v>26</v>
      </c>
      <c r="W13" s="30" t="s">
        <v>71</v>
      </c>
      <c r="X13" s="21"/>
      <c r="Y13" s="45"/>
      <c r="Z13" s="45"/>
      <c r="AA13" s="45"/>
      <c r="AB13" s="45"/>
      <c r="AC13" s="45"/>
    </row>
    <row r="14" s="4" customFormat="true" ht="87" customHeight="true" spans="1:29">
      <c r="A14" s="20" t="s">
        <v>72</v>
      </c>
      <c r="B14" s="21" t="s">
        <v>32</v>
      </c>
      <c r="C14" s="21" t="s">
        <v>73</v>
      </c>
      <c r="D14" s="21" t="s">
        <v>74</v>
      </c>
      <c r="E14" s="30" t="s">
        <v>75</v>
      </c>
      <c r="F14" s="21" t="s">
        <v>58</v>
      </c>
      <c r="G14" s="21" t="s">
        <v>59</v>
      </c>
      <c r="H14" s="21" t="s">
        <v>60</v>
      </c>
      <c r="I14" s="30" t="s">
        <v>76</v>
      </c>
      <c r="J14" s="21">
        <v>2300</v>
      </c>
      <c r="K14" s="21">
        <v>2300</v>
      </c>
      <c r="L14" s="21">
        <f>2022.34-140</f>
        <v>1882.34</v>
      </c>
      <c r="M14" s="21">
        <f>218.65+30+140-35</f>
        <v>353.65</v>
      </c>
      <c r="N14" s="21">
        <f>50-30+10+5</f>
        <v>35</v>
      </c>
      <c r="O14" s="21">
        <f>59.01-30</f>
        <v>29.01</v>
      </c>
      <c r="P14" s="21">
        <v>0</v>
      </c>
      <c r="Q14" s="21">
        <v>0</v>
      </c>
      <c r="R14" s="25">
        <v>57.9</v>
      </c>
      <c r="S14" s="25">
        <v>689</v>
      </c>
      <c r="T14" s="25">
        <v>1775</v>
      </c>
      <c r="U14" s="25">
        <v>25</v>
      </c>
      <c r="V14" s="25">
        <v>43</v>
      </c>
      <c r="W14" s="30" t="s">
        <v>47</v>
      </c>
      <c r="X14" s="21"/>
      <c r="Y14" s="45"/>
      <c r="Z14" s="45"/>
      <c r="AA14" s="45"/>
      <c r="AB14" s="45"/>
      <c r="AC14" s="45"/>
    </row>
    <row r="15" s="5" customFormat="true" ht="87" customHeight="true" spans="1:29">
      <c r="A15" s="20" t="s">
        <v>53</v>
      </c>
      <c r="B15" s="21" t="s">
        <v>32</v>
      </c>
      <c r="C15" s="21" t="s">
        <v>77</v>
      </c>
      <c r="D15" s="21" t="s">
        <v>78</v>
      </c>
      <c r="E15" s="30" t="s">
        <v>79</v>
      </c>
      <c r="F15" s="21" t="s">
        <v>58</v>
      </c>
      <c r="G15" s="21" t="s">
        <v>59</v>
      </c>
      <c r="H15" s="21" t="s">
        <v>60</v>
      </c>
      <c r="I15" s="30" t="s">
        <v>80</v>
      </c>
      <c r="J15" s="21">
        <v>1187.99</v>
      </c>
      <c r="K15" s="21">
        <v>1187.99</v>
      </c>
      <c r="L15" s="21">
        <f>954.61-32.61</f>
        <v>922</v>
      </c>
      <c r="M15" s="21">
        <f>34.6+168.16+32.61-40</f>
        <v>195.37</v>
      </c>
      <c r="N15" s="21">
        <f>30-10+20</f>
        <v>40</v>
      </c>
      <c r="O15" s="21">
        <v>30.62</v>
      </c>
      <c r="P15" s="21">
        <v>0</v>
      </c>
      <c r="Q15" s="21">
        <v>0</v>
      </c>
      <c r="R15" s="25">
        <v>32.1</v>
      </c>
      <c r="S15" s="25">
        <v>270</v>
      </c>
      <c r="T15" s="25">
        <v>930</v>
      </c>
      <c r="U15" s="25">
        <v>18</v>
      </c>
      <c r="V15" s="25">
        <v>36</v>
      </c>
      <c r="W15" s="30" t="s">
        <v>47</v>
      </c>
      <c r="X15" s="21"/>
      <c r="Y15" s="46"/>
      <c r="Z15" s="46"/>
      <c r="AA15" s="46"/>
      <c r="AB15" s="46"/>
      <c r="AC15" s="46"/>
    </row>
    <row r="16" s="1" customFormat="true" customHeight="true" spans="1:29">
      <c r="A16" s="16" t="s">
        <v>81</v>
      </c>
      <c r="B16" s="18"/>
      <c r="C16" s="18"/>
      <c r="D16" s="18"/>
      <c r="E16" s="31" t="s">
        <v>62</v>
      </c>
      <c r="F16" s="17"/>
      <c r="G16" s="17"/>
      <c r="H16" s="17"/>
      <c r="I16" s="36"/>
      <c r="J16" s="37">
        <f>SUM(J17:J18)</f>
        <v>2464.71</v>
      </c>
      <c r="K16" s="37">
        <f t="shared" ref="J16:V16" si="4">SUM(K17:K18)</f>
        <v>2464.71</v>
      </c>
      <c r="L16" s="37">
        <f t="shared" si="4"/>
        <v>1646.24</v>
      </c>
      <c r="M16" s="37">
        <f t="shared" si="4"/>
        <v>691.9</v>
      </c>
      <c r="N16" s="37">
        <f t="shared" si="4"/>
        <v>71.57</v>
      </c>
      <c r="O16" s="37">
        <f t="shared" si="4"/>
        <v>55</v>
      </c>
      <c r="P16" s="37">
        <f t="shared" si="4"/>
        <v>0</v>
      </c>
      <c r="Q16" s="37">
        <f t="shared" si="4"/>
        <v>0</v>
      </c>
      <c r="R16" s="37">
        <f t="shared" si="4"/>
        <v>81</v>
      </c>
      <c r="S16" s="37">
        <f t="shared" si="4"/>
        <v>88</v>
      </c>
      <c r="T16" s="37">
        <f t="shared" si="4"/>
        <v>285</v>
      </c>
      <c r="U16" s="37">
        <f t="shared" si="4"/>
        <v>10</v>
      </c>
      <c r="V16" s="37">
        <f t="shared" si="4"/>
        <v>19</v>
      </c>
      <c r="W16" s="36"/>
      <c r="X16" s="27"/>
      <c r="Y16" s="43"/>
      <c r="Z16" s="43"/>
      <c r="AA16" s="43"/>
      <c r="AB16" s="43"/>
      <c r="AC16" s="43"/>
    </row>
    <row r="17" s="1" customFormat="true" ht="87" customHeight="true" spans="1:29">
      <c r="A17" s="21" t="s">
        <v>54</v>
      </c>
      <c r="B17" s="21" t="s">
        <v>32</v>
      </c>
      <c r="C17" s="21" t="s">
        <v>82</v>
      </c>
      <c r="D17" s="21" t="s">
        <v>83</v>
      </c>
      <c r="E17" s="30" t="s">
        <v>84</v>
      </c>
      <c r="F17" s="21" t="s">
        <v>85</v>
      </c>
      <c r="G17" s="21" t="s">
        <v>86</v>
      </c>
      <c r="H17" s="21" t="s">
        <v>60</v>
      </c>
      <c r="I17" s="30" t="s">
        <v>87</v>
      </c>
      <c r="J17" s="21">
        <v>1427.39</v>
      </c>
      <c r="K17" s="21">
        <v>1427.39</v>
      </c>
      <c r="L17" s="21">
        <f>1094.39-100+18.22-18.22-18.22</f>
        <v>976.17</v>
      </c>
      <c r="M17" s="21">
        <f>233+100+18.22+30</f>
        <v>381.22</v>
      </c>
      <c r="N17" s="21">
        <f>75-30</f>
        <v>45</v>
      </c>
      <c r="O17" s="21">
        <v>25</v>
      </c>
      <c r="P17" s="21">
        <v>0</v>
      </c>
      <c r="Q17" s="21">
        <v>0</v>
      </c>
      <c r="R17" s="25">
        <v>43</v>
      </c>
      <c r="S17" s="25">
        <v>32</v>
      </c>
      <c r="T17" s="25">
        <v>86</v>
      </c>
      <c r="U17" s="25">
        <v>2</v>
      </c>
      <c r="V17" s="25">
        <v>5</v>
      </c>
      <c r="W17" s="30" t="s">
        <v>88</v>
      </c>
      <c r="X17" s="21"/>
      <c r="Y17" s="43"/>
      <c r="Z17" s="43"/>
      <c r="AA17" s="43"/>
      <c r="AB17" s="43"/>
      <c r="AC17" s="43"/>
    </row>
    <row r="18" s="1" customFormat="true" ht="93" customHeight="true" spans="1:29">
      <c r="A18" s="21" t="s">
        <v>62</v>
      </c>
      <c r="B18" s="21" t="s">
        <v>32</v>
      </c>
      <c r="C18" s="21" t="s">
        <v>89</v>
      </c>
      <c r="D18" s="21" t="s">
        <v>90</v>
      </c>
      <c r="E18" s="30" t="s">
        <v>91</v>
      </c>
      <c r="F18" s="21" t="s">
        <v>85</v>
      </c>
      <c r="G18" s="21" t="s">
        <v>86</v>
      </c>
      <c r="H18" s="21" t="s">
        <v>60</v>
      </c>
      <c r="I18" s="30" t="s">
        <v>92</v>
      </c>
      <c r="J18" s="21">
        <v>1037.32</v>
      </c>
      <c r="K18" s="21">
        <v>1037.32</v>
      </c>
      <c r="L18" s="21">
        <f>942.48-272.41</f>
        <v>670.07</v>
      </c>
      <c r="M18" s="21">
        <f>68.27+232.41+10</f>
        <v>310.68</v>
      </c>
      <c r="N18" s="21">
        <v>26.57</v>
      </c>
      <c r="O18" s="21">
        <v>30</v>
      </c>
      <c r="P18" s="21">
        <v>0</v>
      </c>
      <c r="Q18" s="21">
        <v>0</v>
      </c>
      <c r="R18" s="25">
        <v>38</v>
      </c>
      <c r="S18" s="25">
        <v>56</v>
      </c>
      <c r="T18" s="25">
        <v>199</v>
      </c>
      <c r="U18" s="25">
        <v>8</v>
      </c>
      <c r="V18" s="25">
        <v>14</v>
      </c>
      <c r="W18" s="30" t="s">
        <v>47</v>
      </c>
      <c r="X18" s="21"/>
      <c r="Y18" s="43"/>
      <c r="Z18" s="43"/>
      <c r="AA18" s="43"/>
      <c r="AB18" s="43"/>
      <c r="AC18" s="43"/>
    </row>
    <row r="19" s="6" customFormat="true" ht="86" customHeight="true" spans="1:29">
      <c r="A19" s="22" t="s">
        <v>93</v>
      </c>
      <c r="B19" s="23"/>
      <c r="C19" s="23"/>
      <c r="D19" s="24"/>
      <c r="E19" s="32">
        <v>6</v>
      </c>
      <c r="F19" s="25"/>
      <c r="G19" s="25"/>
      <c r="H19" s="25"/>
      <c r="I19" s="32"/>
      <c r="J19" s="25">
        <f t="shared" ref="J19:O19" si="5">SUM(J20:J25)</f>
        <v>7025.46</v>
      </c>
      <c r="K19" s="25">
        <f t="shared" si="5"/>
        <v>7025.46</v>
      </c>
      <c r="L19" s="25">
        <f t="shared" si="5"/>
        <v>5374.53</v>
      </c>
      <c r="M19" s="25">
        <f t="shared" si="5"/>
        <v>1207.07</v>
      </c>
      <c r="N19" s="25">
        <f t="shared" si="5"/>
        <v>259.19</v>
      </c>
      <c r="O19" s="25">
        <f t="shared" si="5"/>
        <v>184.67</v>
      </c>
      <c r="P19" s="25">
        <f t="shared" ref="K19:V19" si="6">SUM(P20:P25)</f>
        <v>0</v>
      </c>
      <c r="Q19" s="25">
        <f t="shared" si="6"/>
        <v>0</v>
      </c>
      <c r="R19" s="25">
        <f t="shared" si="6"/>
        <v>245.8</v>
      </c>
      <c r="S19" s="25">
        <f t="shared" si="6"/>
        <v>3937</v>
      </c>
      <c r="T19" s="25">
        <f t="shared" si="6"/>
        <v>11534</v>
      </c>
      <c r="U19" s="25">
        <f t="shared" si="6"/>
        <v>93</v>
      </c>
      <c r="V19" s="25">
        <f t="shared" si="6"/>
        <v>189</v>
      </c>
      <c r="W19" s="32"/>
      <c r="X19" s="25"/>
      <c r="Y19" s="47"/>
      <c r="Z19" s="47"/>
      <c r="AA19" s="47"/>
      <c r="AB19" s="47"/>
      <c r="AC19" s="47"/>
    </row>
    <row r="20" s="3" customFormat="true" ht="86" customHeight="true" spans="1:29">
      <c r="A20" s="25">
        <v>1</v>
      </c>
      <c r="B20" s="21" t="s">
        <v>32</v>
      </c>
      <c r="C20" s="21" t="s">
        <v>94</v>
      </c>
      <c r="D20" s="21" t="s">
        <v>95</v>
      </c>
      <c r="E20" s="30" t="s">
        <v>96</v>
      </c>
      <c r="F20" s="21" t="s">
        <v>85</v>
      </c>
      <c r="G20" s="21" t="s">
        <v>86</v>
      </c>
      <c r="H20" s="21" t="s">
        <v>60</v>
      </c>
      <c r="I20" s="30" t="s">
        <v>97</v>
      </c>
      <c r="J20" s="21">
        <v>1839.77</v>
      </c>
      <c r="K20" s="21">
        <v>1839.77</v>
      </c>
      <c r="L20" s="21">
        <f>1442.37+100-142.37+42.37</f>
        <v>1442.37</v>
      </c>
      <c r="M20" s="21">
        <f>124.65+50+10+50+90</f>
        <v>324.65</v>
      </c>
      <c r="N20" s="21">
        <f>122.75-50+50-100+10</f>
        <v>32.75</v>
      </c>
      <c r="O20" s="21">
        <v>40</v>
      </c>
      <c r="P20" s="21">
        <v>0</v>
      </c>
      <c r="Q20" s="21">
        <v>0</v>
      </c>
      <c r="R20" s="25">
        <v>54</v>
      </c>
      <c r="S20" s="25">
        <v>234</v>
      </c>
      <c r="T20" s="25">
        <v>735</v>
      </c>
      <c r="U20" s="25">
        <v>12</v>
      </c>
      <c r="V20" s="25">
        <v>22</v>
      </c>
      <c r="W20" s="30" t="s">
        <v>47</v>
      </c>
      <c r="X20" s="21"/>
      <c r="Y20" s="10"/>
      <c r="Z20" s="10"/>
      <c r="AA20" s="10"/>
      <c r="AB20" s="10"/>
      <c r="AC20" s="10"/>
    </row>
    <row r="21" s="3" customFormat="true" ht="86" customHeight="true" spans="1:29">
      <c r="A21" s="25">
        <v>2</v>
      </c>
      <c r="B21" s="21" t="s">
        <v>32</v>
      </c>
      <c r="C21" s="21" t="s">
        <v>98</v>
      </c>
      <c r="D21" s="21" t="s">
        <v>99</v>
      </c>
      <c r="E21" s="30" t="s">
        <v>100</v>
      </c>
      <c r="F21" s="21" t="s">
        <v>85</v>
      </c>
      <c r="G21" s="21" t="s">
        <v>86</v>
      </c>
      <c r="H21" s="21" t="s">
        <v>60</v>
      </c>
      <c r="I21" s="30" t="s">
        <v>101</v>
      </c>
      <c r="J21" s="21">
        <v>658.13</v>
      </c>
      <c r="K21" s="21">
        <v>658.13</v>
      </c>
      <c r="L21" s="21">
        <v>550</v>
      </c>
      <c r="M21" s="21">
        <f>22.52+50-30</f>
        <v>42.52</v>
      </c>
      <c r="N21" s="21">
        <f>16.44+20</f>
        <v>36.44</v>
      </c>
      <c r="O21" s="21">
        <v>29.17</v>
      </c>
      <c r="P21" s="21">
        <v>0</v>
      </c>
      <c r="Q21" s="21">
        <v>0</v>
      </c>
      <c r="R21" s="25">
        <v>27</v>
      </c>
      <c r="S21" s="25">
        <v>48</v>
      </c>
      <c r="T21" s="25">
        <v>302</v>
      </c>
      <c r="U21" s="25">
        <v>5</v>
      </c>
      <c r="V21" s="25">
        <v>10</v>
      </c>
      <c r="W21" s="30" t="s">
        <v>47</v>
      </c>
      <c r="X21" s="21"/>
      <c r="Y21" s="10"/>
      <c r="Z21" s="10"/>
      <c r="AA21" s="10"/>
      <c r="AB21" s="10"/>
      <c r="AC21" s="10"/>
    </row>
    <row r="22" s="7" customFormat="true" ht="86" customHeight="true" spans="1:29">
      <c r="A22" s="25">
        <v>3</v>
      </c>
      <c r="B22" s="21" t="s">
        <v>32</v>
      </c>
      <c r="C22" s="21" t="s">
        <v>102</v>
      </c>
      <c r="D22" s="21" t="s">
        <v>68</v>
      </c>
      <c r="E22" s="30" t="s">
        <v>103</v>
      </c>
      <c r="F22" s="21" t="s">
        <v>85</v>
      </c>
      <c r="G22" s="21" t="s">
        <v>86</v>
      </c>
      <c r="H22" s="21" t="s">
        <v>60</v>
      </c>
      <c r="I22" s="30" t="s">
        <v>104</v>
      </c>
      <c r="J22" s="21">
        <v>990.68</v>
      </c>
      <c r="K22" s="21">
        <f>L22+M22+N22+O22</f>
        <v>990.68</v>
      </c>
      <c r="L22" s="21">
        <v>626.95</v>
      </c>
      <c r="M22" s="21">
        <f>375.23-36.5-110+35+40-30-10-90+30+80+20</f>
        <v>303.73</v>
      </c>
      <c r="N22" s="21">
        <v>40</v>
      </c>
      <c r="O22" s="21">
        <v>20</v>
      </c>
      <c r="P22" s="21">
        <v>0</v>
      </c>
      <c r="Q22" s="21">
        <v>0</v>
      </c>
      <c r="R22" s="25">
        <v>40</v>
      </c>
      <c r="S22" s="25">
        <v>32</v>
      </c>
      <c r="T22" s="25">
        <v>86</v>
      </c>
      <c r="U22" s="25">
        <v>2</v>
      </c>
      <c r="V22" s="25">
        <v>3</v>
      </c>
      <c r="W22" s="30" t="s">
        <v>47</v>
      </c>
      <c r="X22" s="21" t="s">
        <v>105</v>
      </c>
      <c r="Y22" s="48"/>
      <c r="Z22" s="48"/>
      <c r="AA22" s="48"/>
      <c r="AB22" s="48"/>
      <c r="AC22" s="48"/>
    </row>
    <row r="23" s="3" customFormat="true" ht="86" customHeight="true" spans="1:29">
      <c r="A23" s="25">
        <v>4</v>
      </c>
      <c r="B23" s="25" t="s">
        <v>32</v>
      </c>
      <c r="C23" s="25" t="s">
        <v>106</v>
      </c>
      <c r="D23" s="25" t="s">
        <v>107</v>
      </c>
      <c r="E23" s="32" t="s">
        <v>108</v>
      </c>
      <c r="F23" s="25" t="s">
        <v>85</v>
      </c>
      <c r="G23" s="25" t="s">
        <v>86</v>
      </c>
      <c r="H23" s="25" t="s">
        <v>109</v>
      </c>
      <c r="I23" s="32" t="s">
        <v>110</v>
      </c>
      <c r="J23" s="25">
        <v>860.22</v>
      </c>
      <c r="K23" s="25">
        <f>J23</f>
        <v>860.22</v>
      </c>
      <c r="L23" s="25">
        <f>662.21+127.9-0.05</f>
        <v>790.06</v>
      </c>
      <c r="M23" s="25">
        <f>24.66-20</f>
        <v>4.66</v>
      </c>
      <c r="N23" s="25">
        <f>15+20</f>
        <v>35</v>
      </c>
      <c r="O23" s="25">
        <f>45.5-15</f>
        <v>30.5</v>
      </c>
      <c r="P23" s="25">
        <v>0</v>
      </c>
      <c r="Q23" s="25">
        <v>0</v>
      </c>
      <c r="R23" s="25">
        <v>32</v>
      </c>
      <c r="S23" s="25">
        <v>121</v>
      </c>
      <c r="T23" s="25">
        <v>347</v>
      </c>
      <c r="U23" s="25">
        <v>1</v>
      </c>
      <c r="V23" s="25">
        <v>1</v>
      </c>
      <c r="W23" s="30" t="s">
        <v>47</v>
      </c>
      <c r="X23" s="25"/>
      <c r="Y23" s="10"/>
      <c r="Z23" s="10"/>
      <c r="AA23" s="10"/>
      <c r="AB23" s="10"/>
      <c r="AC23" s="10"/>
    </row>
    <row r="24" s="3" customFormat="true" ht="86" customHeight="true" spans="1:29">
      <c r="A24" s="25">
        <v>5</v>
      </c>
      <c r="B24" s="21" t="s">
        <v>32</v>
      </c>
      <c r="C24" s="21" t="s">
        <v>111</v>
      </c>
      <c r="D24" s="21" t="s">
        <v>112</v>
      </c>
      <c r="E24" s="30" t="s">
        <v>113</v>
      </c>
      <c r="F24" s="21" t="s">
        <v>114</v>
      </c>
      <c r="G24" s="21" t="s">
        <v>115</v>
      </c>
      <c r="H24" s="21" t="s">
        <v>60</v>
      </c>
      <c r="I24" s="30" t="s">
        <v>116</v>
      </c>
      <c r="J24" s="21">
        <v>568.37</v>
      </c>
      <c r="K24" s="21">
        <v>568.37</v>
      </c>
      <c r="L24" s="21">
        <v>0</v>
      </c>
      <c r="M24" s="21">
        <f>568.37-100</f>
        <v>468.37</v>
      </c>
      <c r="N24" s="21">
        <v>50</v>
      </c>
      <c r="O24" s="21">
        <v>50</v>
      </c>
      <c r="P24" s="21">
        <v>0</v>
      </c>
      <c r="Q24" s="21">
        <v>0</v>
      </c>
      <c r="R24" s="25">
        <v>24</v>
      </c>
      <c r="S24" s="25">
        <v>1288</v>
      </c>
      <c r="T24" s="25">
        <v>4199</v>
      </c>
      <c r="U24" s="25">
        <v>32</v>
      </c>
      <c r="V24" s="25">
        <v>68</v>
      </c>
      <c r="W24" s="30" t="s">
        <v>40</v>
      </c>
      <c r="X24" s="21"/>
      <c r="Y24" s="10"/>
      <c r="Z24" s="10"/>
      <c r="AA24" s="10"/>
      <c r="AB24" s="10"/>
      <c r="AC24" s="10"/>
    </row>
    <row r="25" s="3" customFormat="true" ht="86" customHeight="true" spans="1:29">
      <c r="A25" s="25">
        <v>6</v>
      </c>
      <c r="B25" s="21" t="s">
        <v>32</v>
      </c>
      <c r="C25" s="21" t="s">
        <v>117</v>
      </c>
      <c r="D25" s="21" t="s">
        <v>118</v>
      </c>
      <c r="E25" s="30" t="s">
        <v>119</v>
      </c>
      <c r="F25" s="21" t="s">
        <v>114</v>
      </c>
      <c r="G25" s="21" t="s">
        <v>115</v>
      </c>
      <c r="H25" s="21" t="s">
        <v>60</v>
      </c>
      <c r="I25" s="30" t="s">
        <v>120</v>
      </c>
      <c r="J25" s="21">
        <v>2108.29</v>
      </c>
      <c r="K25" s="21">
        <v>2108.29</v>
      </c>
      <c r="L25" s="21">
        <v>1965.15</v>
      </c>
      <c r="M25" s="21">
        <f>143.14-80</f>
        <v>63.14</v>
      </c>
      <c r="N25" s="21">
        <f>100-20-15</f>
        <v>65</v>
      </c>
      <c r="O25" s="21">
        <v>15</v>
      </c>
      <c r="P25" s="21">
        <v>0</v>
      </c>
      <c r="Q25" s="21">
        <v>0</v>
      </c>
      <c r="R25" s="25">
        <v>68.8</v>
      </c>
      <c r="S25" s="25">
        <v>2214</v>
      </c>
      <c r="T25" s="25">
        <v>5865</v>
      </c>
      <c r="U25" s="25">
        <v>41</v>
      </c>
      <c r="V25" s="25">
        <v>85</v>
      </c>
      <c r="W25" s="30" t="s">
        <v>47</v>
      </c>
      <c r="X25" s="21"/>
      <c r="Y25" s="10"/>
      <c r="Z25" s="10"/>
      <c r="AA25" s="10"/>
      <c r="AB25" s="10"/>
      <c r="AC25" s="10"/>
    </row>
    <row r="26" s="1" customFormat="true" customHeight="true" spans="1:29">
      <c r="A26" s="16" t="s">
        <v>121</v>
      </c>
      <c r="B26" s="18"/>
      <c r="C26" s="18"/>
      <c r="D26" s="18"/>
      <c r="E26" s="29">
        <v>1</v>
      </c>
      <c r="F26" s="17"/>
      <c r="G26" s="17"/>
      <c r="H26" s="17"/>
      <c r="I26" s="17"/>
      <c r="J26" s="37">
        <v>30.73</v>
      </c>
      <c r="K26" s="37">
        <v>30.73</v>
      </c>
      <c r="L26" s="37">
        <v>30.73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f>R27</f>
        <v>0</v>
      </c>
      <c r="S26" s="37">
        <v>0</v>
      </c>
      <c r="T26" s="37">
        <v>0</v>
      </c>
      <c r="U26" s="37">
        <v>0</v>
      </c>
      <c r="V26" s="37"/>
      <c r="W26" s="36"/>
      <c r="X26" s="18"/>
      <c r="Y26" s="43"/>
      <c r="Z26" s="43"/>
      <c r="AA26" s="43"/>
      <c r="AB26" s="43"/>
      <c r="AC26" s="43"/>
    </row>
    <row r="27" s="3" customFormat="true" customHeight="true" spans="1:29">
      <c r="A27" s="20">
        <v>1</v>
      </c>
      <c r="B27" s="21" t="s">
        <v>32</v>
      </c>
      <c r="C27" s="21" t="s">
        <v>122</v>
      </c>
      <c r="D27" s="21" t="s">
        <v>123</v>
      </c>
      <c r="E27" s="33" t="s">
        <v>122</v>
      </c>
      <c r="F27" s="21" t="s">
        <v>124</v>
      </c>
      <c r="G27" s="21" t="s">
        <v>37</v>
      </c>
      <c r="H27" s="21" t="s">
        <v>125</v>
      </c>
      <c r="I27" s="30" t="s">
        <v>126</v>
      </c>
      <c r="J27" s="21">
        <v>30.73</v>
      </c>
      <c r="K27" s="21">
        <v>30.73</v>
      </c>
      <c r="L27" s="21">
        <v>30.73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41">
        <v>0</v>
      </c>
      <c r="S27" s="41">
        <v>287</v>
      </c>
      <c r="T27" s="41">
        <v>862</v>
      </c>
      <c r="U27" s="41">
        <v>16</v>
      </c>
      <c r="V27" s="41">
        <v>32</v>
      </c>
      <c r="W27" s="30" t="s">
        <v>127</v>
      </c>
      <c r="X27" s="21"/>
      <c r="Y27" s="10"/>
      <c r="Z27" s="10"/>
      <c r="AA27" s="10"/>
      <c r="AB27" s="10"/>
      <c r="AC27" s="10"/>
    </row>
    <row r="28" customHeight="true" spans="6:6">
      <c r="F28" s="10"/>
    </row>
  </sheetData>
  <protectedRanges>
    <protectedRange sqref="R7" name="区域1"/>
    <protectedRange sqref="Q8 Q9" name="区域1_1"/>
    <protectedRange sqref="R8:R9" name="区域1_2"/>
    <protectedRange sqref="R17" name="区域1_3"/>
  </protectedRanges>
  <mergeCells count="24">
    <mergeCell ref="A1:X1"/>
    <mergeCell ref="A2:X2"/>
    <mergeCell ref="I3:J3"/>
    <mergeCell ref="K3:Q3"/>
    <mergeCell ref="U3:V3"/>
    <mergeCell ref="A5:D5"/>
    <mergeCell ref="A6:D6"/>
    <mergeCell ref="A10:D10"/>
    <mergeCell ref="A16:D16"/>
    <mergeCell ref="A19:D19"/>
    <mergeCell ref="A26:D26"/>
    <mergeCell ref="A3:A4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W3:W4"/>
    <mergeCell ref="X3:X4"/>
  </mergeCells>
  <pageMargins left="0.75" right="0.75" top="1" bottom="1" header="0.5" footer="0.5"/>
  <pageSetup paperSize="9" scale="23" orientation="landscape"/>
  <headerFooter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xzxc</cp:lastModifiedBy>
  <dcterms:created xsi:type="dcterms:W3CDTF">2022-05-05T22:13:00Z</dcterms:created>
  <dcterms:modified xsi:type="dcterms:W3CDTF">2023-11-02T10:30:19Z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02A075F0AE194F75A43152CDD228411D</vt:lpwstr>
  </property>
  <property fmtid="{D5CDD505-2E9C-101B-9397-08002B2CF9AE}" pid="3" name="KSOProductBuildVer">
    <vt:lpwstr>2052-11.8.2.9831</vt:lpwstr>
  </property>
</Properties>
</file>